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M:\Ministry\Forms Policies Guidelines and Documents\WEBSITE\Shared Website\"/>
    </mc:Choice>
  </mc:AlternateContent>
  <xr:revisionPtr revIDLastSave="0" documentId="8_{3723D5B4-FE9F-4942-BCC9-58EFB5C27042}" xr6:coauthVersionLast="47" xr6:coauthVersionMax="47" xr10:uidLastSave="{00000000-0000-0000-0000-000000000000}"/>
  <bookViews>
    <workbookView xWindow="-120" yWindow="-120" windowWidth="29040" windowHeight="15720" xr2:uid="{63D4E363-CC1F-453B-AD92-91111022AB26}"/>
  </bookViews>
  <sheets>
    <sheet name="Calculator" sheetId="1" r:id="rId1"/>
    <sheet name="Default Assump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 l="1"/>
  <c r="C17" i="2"/>
  <c r="C16" i="2"/>
  <c r="C15" i="2"/>
  <c r="C14" i="2"/>
  <c r="C13" i="2"/>
  <c r="C12" i="2"/>
  <c r="C11" i="2"/>
  <c r="C10" i="2"/>
  <c r="C9" i="2"/>
  <c r="C4" i="2"/>
  <c r="D36" i="1" l="1"/>
  <c r="D35" i="1"/>
  <c r="D34" i="1"/>
  <c r="D31" i="1"/>
  <c r="D30" i="1"/>
  <c r="D29" i="1"/>
  <c r="D28" i="1"/>
  <c r="D27" i="1"/>
  <c r="D26" i="1"/>
  <c r="D25" i="1"/>
  <c r="D20" i="1"/>
  <c r="D19" i="1"/>
  <c r="G36" i="1" l="1"/>
  <c r="H36" i="1" s="1"/>
  <c r="G35" i="1"/>
  <c r="H35" i="1" s="1"/>
  <c r="G34" i="1"/>
  <c r="G31" i="1"/>
  <c r="H31" i="1" s="1"/>
  <c r="G30" i="1"/>
  <c r="H30" i="1" s="1"/>
  <c r="G29" i="1"/>
  <c r="H29" i="1" s="1"/>
  <c r="G28" i="1"/>
  <c r="H28" i="1" s="1"/>
  <c r="G27" i="1"/>
  <c r="H27" i="1" s="1"/>
  <c r="G26" i="1"/>
  <c r="H26" i="1" s="1"/>
  <c r="G25" i="1"/>
  <c r="G20" i="1"/>
  <c r="G19" i="1"/>
  <c r="D21" i="1" s="1"/>
  <c r="H20" i="1" l="1"/>
  <c r="G22" i="1"/>
  <c r="H22" i="1" s="1"/>
  <c r="G21" i="1"/>
  <c r="H21" i="1" s="1"/>
  <c r="H19" i="1"/>
  <c r="G32" i="1"/>
  <c r="H25" i="1"/>
  <c r="H32" i="1" s="1"/>
  <c r="G37" i="1"/>
  <c r="H34" i="1"/>
  <c r="H37" i="1" s="1"/>
  <c r="H23" i="1" l="1"/>
  <c r="H39" i="1" s="1"/>
  <c r="G23" i="1"/>
  <c r="G39" i="1" s="1"/>
</calcChain>
</file>

<file path=xl/sharedStrings.xml><?xml version="1.0" encoding="utf-8"?>
<sst xmlns="http://schemas.openxmlformats.org/spreadsheetml/2006/main" count="126" uniqueCount="79">
  <si>
    <r>
      <t xml:space="preserve">Inputs - complete all </t>
    </r>
    <r>
      <rPr>
        <b/>
        <sz val="11"/>
        <color rgb="FFFFC000"/>
        <rFont val="Tahoma"/>
        <family val="2"/>
      </rPr>
      <t>orange cells</t>
    </r>
  </si>
  <si>
    <t>Is Your Minister Full Time?</t>
  </si>
  <si>
    <t>Yes</t>
  </si>
  <si>
    <t>If Part Time, what percentage of full time hours</t>
  </si>
  <si>
    <t>How is Housing provided?</t>
  </si>
  <si>
    <t>Manse</t>
  </si>
  <si>
    <t>If Manse, is it owned or leased</t>
  </si>
  <si>
    <t>Owned</t>
  </si>
  <si>
    <t>If Manse, does church cover energy bills?</t>
  </si>
  <si>
    <t>Is the church eligible for the Employment Allowance?</t>
  </si>
  <si>
    <t>Check eligibility at</t>
  </si>
  <si>
    <t>https://www.gov.uk/claim-employment-allowance</t>
  </si>
  <si>
    <t>Cost Estimates</t>
  </si>
  <si>
    <t>Default assumption</t>
  </si>
  <si>
    <t>Use default assumption?</t>
  </si>
  <si>
    <t>Custom Assumption</t>
  </si>
  <si>
    <t>Per year</t>
  </si>
  <si>
    <t>Per month</t>
  </si>
  <si>
    <t>Payroll Costs</t>
  </si>
  <si>
    <t>Stipend</t>
  </si>
  <si>
    <t>Housing Allowance</t>
  </si>
  <si>
    <t>Employers Pension</t>
  </si>
  <si>
    <t>National Insurance</t>
  </si>
  <si>
    <t>Total Payroll Costs</t>
  </si>
  <si>
    <t>Manse Costs</t>
  </si>
  <si>
    <t>Manse Lease</t>
  </si>
  <si>
    <t>Maintenance</t>
  </si>
  <si>
    <t>Buildings Insurance</t>
  </si>
  <si>
    <t>Council Tax</t>
  </si>
  <si>
    <t>Water bill</t>
  </si>
  <si>
    <t>Phone and broadband</t>
  </si>
  <si>
    <t>Energy bills</t>
  </si>
  <si>
    <t>Total Manse Costs</t>
  </si>
  <si>
    <t>Other Costs</t>
  </si>
  <si>
    <t>Minister's expenses (travel etc)</t>
  </si>
  <si>
    <t>Continuing Ministerial Development and training</t>
  </si>
  <si>
    <t>Mobile Phone</t>
  </si>
  <si>
    <t>Total Other Costs</t>
  </si>
  <si>
    <t>Total Costs</t>
  </si>
  <si>
    <t>Assumptions</t>
  </si>
  <si>
    <t>Cost Item</t>
  </si>
  <si>
    <t>Default Assumption</t>
  </si>
  <si>
    <t>Overwrite possible?</t>
  </si>
  <si>
    <t>Basis of default</t>
  </si>
  <si>
    <t>Source</t>
  </si>
  <si>
    <t>Y</t>
  </si>
  <si>
    <t>www.baptist.org.uk/financialguidance</t>
  </si>
  <si>
    <t>Estimate of total housing costs</t>
  </si>
  <si>
    <t>Private rental market summary statistics in England - Office for National Statistics (ons.gov.uk)</t>
  </si>
  <si>
    <t>Employers' pension contributions</t>
  </si>
  <si>
    <t>Ministers Section of Baptist Pension Scheme</t>
  </si>
  <si>
    <t>https://www.baptistpensions.org.uk/churches-employers/how-the-scheme-works/how-much-does-it-cost/</t>
  </si>
  <si>
    <t>Employers National Insurance Rate</t>
  </si>
  <si>
    <t>N</t>
  </si>
  <si>
    <t>National Insurance Secondary Threshold</t>
  </si>
  <si>
    <t>Manse Value</t>
  </si>
  <si>
    <t>Leasing cost for Manse</t>
  </si>
  <si>
    <t>Median 4-bed rent for UK to March 2023</t>
  </si>
  <si>
    <t>Manse maintenance</t>
  </si>
  <si>
    <t>Estimated UK average</t>
  </si>
  <si>
    <t>Home contents and buildings insurance | unbiased.co.uk</t>
  </si>
  <si>
    <t>UK average band D Council Tax</t>
  </si>
  <si>
    <t>Council Tax levels set by local authorities in England 2023 to 2024 (revised) - GOV.UK (www.gov.uk)</t>
  </si>
  <si>
    <t>What is the average water bill in the UK? - Look After My Bills</t>
  </si>
  <si>
    <t>Average broadband costs | 2023 costs explained! (aquaswitch.co.uk)</t>
  </si>
  <si>
    <t>Energy Bills</t>
  </si>
  <si>
    <t>Typical UK Energy Bills Explained 2023 | EDF (edfenergy.com)</t>
  </si>
  <si>
    <t>Minister's expenses</t>
  </si>
  <si>
    <t>Baptists Together recommendation</t>
  </si>
  <si>
    <t>Please note that these assumptions are not editable.  Should you wish to use different assumptions in your calculation, please select "N" under "Use Default Assumption?" in the Calculator, and enter your own figure under "Custom assumption".</t>
  </si>
  <si>
    <t>Rates and thresholds for employers 2024 to 2025 - GOV.UK</t>
  </si>
  <si>
    <t>UK tax rates for 2025/26</t>
  </si>
  <si>
    <t>Baptist Pension Scheme Manse Value for 2025 (NB - will increase by inflation)</t>
  </si>
  <si>
    <t>Baptist Together Standard Stipend for 2025</t>
  </si>
  <si>
    <r>
      <t xml:space="preserve">Cost of Ministry Calculator 2025 </t>
    </r>
    <r>
      <rPr>
        <b/>
        <sz val="16"/>
        <color theme="1"/>
        <rFont val="Tahoma"/>
        <family val="2"/>
      </rPr>
      <t>(Excluding NI increase from April)</t>
    </r>
  </si>
  <si>
    <t>**</t>
  </si>
  <si>
    <t>If housing allowance is paid to the minister the amount used should equate to the rental cost of a suitable house in your area - and not</t>
  </si>
  <si>
    <t>just the default assumption amount.</t>
  </si>
  <si>
    <r>
      <t xml:space="preserve">Housing Allowance </t>
    </r>
    <r>
      <rPr>
        <sz val="11"/>
        <color rgb="FFFF0000"/>
        <rFont val="Tahom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</si>
</sst>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2" x14ac:knownFonts="1">
    <font>
      <sz val="11"/>
      <color theme="1"/>
      <name val="Aptos Narrow"/>
      <family val="2"/>
      <scheme val="minor"/>
    </font>
    <font>
      <sz val="11"/>
      <color rgb="FF3F3F76"/>
      <name val="Aptos Narrow"/>
      <family val="2"/>
      <scheme val="minor"/>
    </font>
    <font>
      <b/>
      <sz val="11"/>
      <color theme="1"/>
      <name val="Aptos Narrow"/>
      <family val="2"/>
      <scheme val="minor"/>
    </font>
    <font>
      <u/>
      <sz val="11"/>
      <color theme="10"/>
      <name val="Aptos Narrow"/>
      <family val="2"/>
      <scheme val="minor"/>
    </font>
    <font>
      <sz val="11"/>
      <color theme="1"/>
      <name val="Tahoma"/>
      <family val="2"/>
    </font>
    <font>
      <b/>
      <sz val="24"/>
      <color theme="1"/>
      <name val="Tahoma"/>
      <family val="2"/>
    </font>
    <font>
      <b/>
      <sz val="11"/>
      <color theme="1"/>
      <name val="Tahoma"/>
      <family val="2"/>
    </font>
    <font>
      <b/>
      <sz val="11"/>
      <color rgb="FFFFC000"/>
      <name val="Tahoma"/>
      <family val="2"/>
    </font>
    <font>
      <u/>
      <sz val="11"/>
      <color theme="1"/>
      <name val="Tahoma"/>
      <family val="2"/>
    </font>
    <font>
      <b/>
      <sz val="11"/>
      <name val="Aptos Narrow"/>
      <family val="2"/>
      <scheme val="minor"/>
    </font>
    <font>
      <b/>
      <sz val="16"/>
      <color theme="1"/>
      <name val="Tahoma"/>
      <family val="2"/>
    </font>
    <font>
      <sz val="11"/>
      <color rgb="FFFF0000"/>
      <name val="Tahoma"/>
      <family val="2"/>
    </font>
  </fonts>
  <fills count="7">
    <fill>
      <patternFill patternType="none"/>
    </fill>
    <fill>
      <patternFill patternType="gray125"/>
    </fill>
    <fill>
      <patternFill patternType="solid">
        <fgColor rgb="FFFFCC99"/>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auto="1"/>
        <bgColor theme="0"/>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3">
    <xf numFmtId="0" fontId="0" fillId="0" borderId="0"/>
    <xf numFmtId="0" fontId="1" fillId="2" borderId="1" applyNumberFormat="0" applyAlignment="0" applyProtection="0"/>
    <xf numFmtId="0" fontId="3" fillId="0" borderId="0" applyNumberFormat="0" applyFill="0" applyBorder="0" applyAlignment="0" applyProtection="0"/>
  </cellStyleXfs>
  <cellXfs count="42">
    <xf numFmtId="0" fontId="0" fillId="0" borderId="0" xfId="0"/>
    <xf numFmtId="0" fontId="4" fillId="0" borderId="2" xfId="0" applyFont="1" applyBorder="1"/>
    <xf numFmtId="0" fontId="4" fillId="0" borderId="3" xfId="0" applyFont="1" applyBorder="1"/>
    <xf numFmtId="0" fontId="4" fillId="0" borderId="4" xfId="0" applyFont="1" applyBorder="1"/>
    <xf numFmtId="0" fontId="4" fillId="0" borderId="0" xfId="0" applyFont="1"/>
    <xf numFmtId="0" fontId="4" fillId="0" borderId="5" xfId="0" applyFont="1" applyBorder="1"/>
    <xf numFmtId="0" fontId="5" fillId="0" borderId="0" xfId="0" applyFont="1"/>
    <xf numFmtId="0" fontId="4" fillId="0" borderId="6" xfId="0" applyFont="1" applyBorder="1"/>
    <xf numFmtId="0" fontId="6" fillId="0" borderId="0" xfId="0" applyFont="1"/>
    <xf numFmtId="0" fontId="4" fillId="3" borderId="0" xfId="1" applyFont="1" applyFill="1" applyBorder="1" applyAlignment="1" applyProtection="1">
      <alignment horizontal="center"/>
      <protection locked="0"/>
    </xf>
    <xf numFmtId="9" fontId="4" fillId="2" borderId="0" xfId="1" applyNumberFormat="1" applyFont="1" applyBorder="1" applyAlignment="1" applyProtection="1">
      <alignment horizontal="center"/>
      <protection locked="0"/>
    </xf>
    <xf numFmtId="9" fontId="4" fillId="3" borderId="0" xfId="1" applyNumberFormat="1" applyFont="1" applyFill="1" applyBorder="1" applyAlignment="1" applyProtection="1">
      <alignment horizontal="center"/>
      <protection locked="0"/>
    </xf>
    <xf numFmtId="0" fontId="4" fillId="0" borderId="0" xfId="0" applyFont="1" applyAlignment="1">
      <alignment horizontal="center"/>
    </xf>
    <xf numFmtId="0" fontId="4" fillId="0" borderId="5" xfId="0" applyFont="1" applyBorder="1" applyAlignment="1">
      <alignment wrapText="1"/>
    </xf>
    <xf numFmtId="0" fontId="4" fillId="0" borderId="0" xfId="0" applyFont="1" applyAlignment="1">
      <alignment wrapText="1"/>
    </xf>
    <xf numFmtId="0" fontId="6" fillId="0" borderId="0" xfId="0" applyFont="1" applyAlignment="1">
      <alignment horizontal="center" wrapText="1"/>
    </xf>
    <xf numFmtId="0" fontId="4" fillId="0" borderId="6" xfId="0" applyFont="1" applyBorder="1" applyAlignment="1">
      <alignment wrapText="1"/>
    </xf>
    <xf numFmtId="164" fontId="4" fillId="0" borderId="0" xfId="0" applyNumberFormat="1" applyFont="1"/>
    <xf numFmtId="164" fontId="4" fillId="2" borderId="0" xfId="1" applyNumberFormat="1" applyFont="1" applyBorder="1" applyProtection="1">
      <protection locked="0"/>
    </xf>
    <xf numFmtId="164" fontId="6" fillId="0" borderId="0" xfId="0" applyNumberFormat="1" applyFont="1"/>
    <xf numFmtId="0" fontId="6" fillId="0" borderId="0" xfId="0" applyFont="1" applyAlignment="1">
      <alignment horizontal="right"/>
    </xf>
    <xf numFmtId="0" fontId="4" fillId="2" borderId="0" xfId="1" applyFont="1" applyBorder="1" applyAlignment="1" applyProtection="1">
      <alignment horizontal="center"/>
      <protection locked="0"/>
    </xf>
    <xf numFmtId="0" fontId="4" fillId="0" borderId="0" xfId="0" applyFont="1" applyAlignment="1">
      <alignment horizontal="left"/>
    </xf>
    <xf numFmtId="0" fontId="4" fillId="0" borderId="7" xfId="0" applyFont="1" applyBorder="1"/>
    <xf numFmtId="0" fontId="4" fillId="0" borderId="8" xfId="0" applyFont="1" applyBorder="1"/>
    <xf numFmtId="0" fontId="4" fillId="0" borderId="9" xfId="0" applyFont="1" applyBorder="1"/>
    <xf numFmtId="0" fontId="2" fillId="0" borderId="0" xfId="0" applyFont="1"/>
    <xf numFmtId="0" fontId="0" fillId="0" borderId="0" xfId="0" applyAlignment="1">
      <alignment wrapText="1"/>
    </xf>
    <xf numFmtId="0" fontId="9" fillId="4" borderId="10" xfId="0" applyFont="1" applyFill="1" applyBorder="1" applyAlignment="1">
      <alignment vertical="top" wrapText="1"/>
    </xf>
    <xf numFmtId="0" fontId="0" fillId="5" borderId="11" xfId="0" applyFill="1" applyBorder="1"/>
    <xf numFmtId="0" fontId="0" fillId="5" borderId="11" xfId="0" applyFill="1" applyBorder="1" applyAlignment="1">
      <alignment horizontal="center"/>
    </xf>
    <xf numFmtId="0" fontId="3" fillId="5" borderId="11" xfId="2" applyFill="1" applyBorder="1"/>
    <xf numFmtId="0" fontId="0" fillId="5" borderId="11" xfId="0" applyFill="1" applyBorder="1" applyAlignment="1">
      <alignment wrapText="1"/>
    </xf>
    <xf numFmtId="0" fontId="0" fillId="5" borderId="12" xfId="0" applyFill="1" applyBorder="1"/>
    <xf numFmtId="0" fontId="0" fillId="5" borderId="12" xfId="0" applyFill="1" applyBorder="1" applyAlignment="1">
      <alignment horizontal="center"/>
    </xf>
    <xf numFmtId="0" fontId="3" fillId="5" borderId="12" xfId="2" applyFill="1" applyBorder="1"/>
    <xf numFmtId="164" fontId="0" fillId="5" borderId="11" xfId="0" applyNumberFormat="1" applyFill="1" applyBorder="1"/>
    <xf numFmtId="9" fontId="0" fillId="6" borderId="11" xfId="0" applyNumberFormat="1" applyFill="1" applyBorder="1"/>
    <xf numFmtId="10" fontId="0" fillId="6" borderId="11" xfId="0" applyNumberFormat="1" applyFill="1" applyBorder="1"/>
    <xf numFmtId="0" fontId="11" fillId="0" borderId="0" xfId="0" applyFont="1" applyAlignment="1">
      <alignment horizontal="right"/>
    </xf>
    <xf numFmtId="0" fontId="8" fillId="0" borderId="0" xfId="2" applyFont="1" applyBorder="1" applyAlignment="1" applyProtection="1">
      <alignment horizontal="left"/>
    </xf>
    <xf numFmtId="0" fontId="0" fillId="0" borderId="0" xfId="0" applyAlignment="1">
      <alignment horizontal="left"/>
    </xf>
  </cellXfs>
  <cellStyles count="3">
    <cellStyle name="Hyperlink" xfId="2" builtinId="8"/>
    <cellStyle name="Input" xfId="1" builtinId="20"/>
    <cellStyle name="Normal" xfId="0" builtinId="0"/>
  </cellStyles>
  <dxfs count="20">
    <dxf>
      <font>
        <color theme="6"/>
      </font>
      <fill>
        <patternFill>
          <bgColor theme="6"/>
        </patternFill>
      </fill>
    </dxf>
    <dxf>
      <font>
        <color theme="6"/>
      </font>
      <fill>
        <patternFill>
          <bgColor theme="6"/>
        </patternFill>
      </fill>
    </dxf>
    <dxf>
      <font>
        <color theme="6"/>
      </font>
      <fill>
        <patternFill>
          <bgColor theme="6"/>
        </patternFill>
      </fill>
    </dxf>
    <dxf>
      <font>
        <color theme="6"/>
      </font>
      <fill>
        <patternFill>
          <bgColor theme="6"/>
        </patternFill>
      </fill>
    </dxf>
    <dxf>
      <font>
        <color theme="6"/>
      </font>
      <fill>
        <patternFill>
          <bgColor theme="6"/>
        </patternFill>
      </fill>
    </dxf>
    <dxf>
      <font>
        <color theme="6"/>
      </font>
      <fill>
        <patternFill>
          <bgColor theme="6"/>
        </patternFill>
      </fill>
    </dxf>
    <dxf>
      <font>
        <color theme="6"/>
      </font>
      <fill>
        <patternFill>
          <bgColor theme="6"/>
        </patternFill>
      </fill>
    </dxf>
    <dxf>
      <font>
        <color theme="6"/>
      </font>
      <fill>
        <patternFill>
          <bgColor theme="6"/>
        </patternFill>
      </fill>
    </dxf>
    <dxf>
      <font>
        <color theme="6"/>
      </font>
      <fill>
        <patternFill>
          <fgColor theme="6"/>
          <bgColor theme="6"/>
        </patternFill>
      </fill>
    </dxf>
    <dxf>
      <font>
        <color theme="6"/>
      </font>
      <fill>
        <patternFill>
          <bgColor theme="6"/>
        </patternFill>
      </fill>
    </dxf>
    <dxf>
      <fill>
        <patternFill patternType="none">
          <fgColor indexed="64"/>
          <bgColor theme="0"/>
        </patternFill>
      </fill>
      <border diagonalUp="0" diagonalDown="0">
        <left/>
        <right/>
        <top style="thin">
          <color auto="1"/>
        </top>
        <bottom style="thin">
          <color auto="1"/>
        </bottom>
        <vertical/>
        <horizontal style="thin">
          <color auto="1"/>
        </horizontal>
      </border>
    </dxf>
    <dxf>
      <fill>
        <patternFill patternType="none">
          <fgColor indexed="64"/>
          <bgColor theme="0"/>
        </patternFill>
      </fill>
      <border diagonalUp="0" diagonalDown="0">
        <left/>
        <right/>
        <top style="thin">
          <color auto="1"/>
        </top>
        <bottom style="thin">
          <color auto="1"/>
        </bottom>
        <vertical/>
        <horizontal style="thin">
          <color auto="1"/>
        </horizontal>
      </border>
    </dxf>
    <dxf>
      <fill>
        <patternFill patternType="none">
          <fgColor indexed="64"/>
          <bgColor theme="0"/>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numFmt numFmtId="164" formatCode="&quot;£&quot;#,##0"/>
      <fill>
        <patternFill patternType="solid">
          <fgColor theme="0"/>
          <bgColor auto="1"/>
        </patternFill>
      </fill>
      <border diagonalUp="0" diagonalDown="0">
        <left/>
        <right/>
        <top style="thin">
          <color auto="1"/>
        </top>
        <bottom style="thin">
          <color auto="1"/>
        </bottom>
        <vertical/>
        <horizontal style="thin">
          <color auto="1"/>
        </horizontal>
      </border>
    </dxf>
    <dxf>
      <fill>
        <patternFill patternType="none">
          <fgColor indexed="64"/>
          <bgColor theme="0"/>
        </patternFill>
      </fill>
      <border diagonalUp="0" diagonalDown="0">
        <left/>
        <right/>
        <top style="thin">
          <color auto="1"/>
        </top>
        <bottom style="thin">
          <color auto="1"/>
        </bottom>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ill>
        <patternFill patternType="none">
          <fgColor indexed="64"/>
          <bgColor theme="0"/>
        </patternFill>
      </fill>
    </dxf>
    <dxf>
      <border>
        <bottom style="thin">
          <color auto="1"/>
        </bottom>
      </border>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407670</xdr:colOff>
      <xdr:row>0</xdr:row>
      <xdr:rowOff>0</xdr:rowOff>
    </xdr:from>
    <xdr:to>
      <xdr:col>7</xdr:col>
      <xdr:colOff>1026795</xdr:colOff>
      <xdr:row>4</xdr:row>
      <xdr:rowOff>65090</xdr:rowOff>
    </xdr:to>
    <xdr:pic>
      <xdr:nvPicPr>
        <xdr:cNvPr id="2" name="Picture 1" descr="BT logo 1-Colour-cmyk">
          <a:extLst>
            <a:ext uri="{FF2B5EF4-FFF2-40B4-BE49-F238E27FC236}">
              <a16:creationId xmlns:a16="http://schemas.microsoft.com/office/drawing/2014/main" id="{06AD7CE6-64B7-44AF-9E6B-7D52982E7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8520" y="0"/>
          <a:ext cx="1695450" cy="788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497923-847D-40DF-A104-8514F266086A}" name="Table1" displayName="Table1" ref="B2:F18" totalsRowShown="0" headerRowDxfId="19" dataDxfId="17" headerRowBorderDxfId="18" tableBorderDxfId="16" totalsRowBorderDxfId="15">
  <autoFilter ref="B2:F18" xr:uid="{E4497923-847D-40DF-A104-8514F266086A}"/>
  <tableColumns count="5">
    <tableColumn id="1" xr3:uid="{51C58AA5-6603-41D2-943A-18B0E1DD11D7}" name="Cost Item" dataDxfId="14"/>
    <tableColumn id="2" xr3:uid="{A400D9AA-0ACD-465D-98A8-2B1443E44030}" name="Default Assumption" dataDxfId="13"/>
    <tableColumn id="3" xr3:uid="{2CD9997C-05A2-4F9B-ABF6-07D3CBF2A67F}" name="Overwrite possible?" dataDxfId="12"/>
    <tableColumn id="4" xr3:uid="{5563455C-55E6-4768-83C9-DAF7E5C42E89}" name="Basis of default" dataDxfId="11"/>
    <tableColumn id="5" xr3:uid="{EE2D1878-CD57-4AA7-B490-88162A728CF5}" name="Source" dataDxfId="10" dataCellStyle="Hyperlink"/>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claim-employment-allowanc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quaswitch.co.uk/blog/average-broadband-cost/" TargetMode="External"/><Relationship Id="rId3" Type="http://schemas.openxmlformats.org/officeDocument/2006/relationships/hyperlink" Target="https://www.baptistpensions.org.uk/churches-employers/how-the-scheme-works/how-much-does-it-cost/" TargetMode="External"/><Relationship Id="rId7" Type="http://schemas.openxmlformats.org/officeDocument/2006/relationships/hyperlink" Target="https://www.edfenergy.com/energywise/what-is-the-average-energy-bill-in-the-uk" TargetMode="External"/><Relationship Id="rId12" Type="http://schemas.openxmlformats.org/officeDocument/2006/relationships/table" Target="../tables/table1.xml"/><Relationship Id="rId2" Type="http://schemas.openxmlformats.org/officeDocument/2006/relationships/hyperlink" Target="http://www.baptist.org.uk/financialguidance" TargetMode="External"/><Relationship Id="rId1" Type="http://schemas.openxmlformats.org/officeDocument/2006/relationships/hyperlink" Target="http://www.baptist.org.uk/financialguidance" TargetMode="External"/><Relationship Id="rId6" Type="http://schemas.openxmlformats.org/officeDocument/2006/relationships/hyperlink" Target="https://lookaftermybills.com/water/what-is-the-average-water-bill-in-the-uk/" TargetMode="External"/><Relationship Id="rId11" Type="http://schemas.openxmlformats.org/officeDocument/2006/relationships/hyperlink" Target="https://www.ons.gov.uk/peoplepopulationandcommunity/housing/bulletins/privaterentalmarketsummarystatisticsinengland/april2022tomarch2023" TargetMode="External"/><Relationship Id="rId5" Type="http://schemas.openxmlformats.org/officeDocument/2006/relationships/hyperlink" Target="https://www.gov.uk/government/statistics/council-tax-levels-set-by-local-authorities-in-england-2023-to-2024/council-tax-levels-set-by-local-authorities-in-england-2023-to-2024" TargetMode="External"/><Relationship Id="rId10" Type="http://schemas.openxmlformats.org/officeDocument/2006/relationships/hyperlink" Target="https://www.unbiased.co.uk/discover/mortgages-property/ownership-improvements/how-much-is-home-insurance-on-average-and-what-does-it-cover" TargetMode="External"/><Relationship Id="rId4" Type="http://schemas.openxmlformats.org/officeDocument/2006/relationships/hyperlink" Target="https://www.ons.gov.uk/peoplepopulationandcommunity/housing/bulletins/privaterentalmarketsummarystatisticsinengland/april2022tomarch2023" TargetMode="External"/><Relationship Id="rId9" Type="http://schemas.openxmlformats.org/officeDocument/2006/relationships/hyperlink" Target="https://www.aquaswitch.co.uk/blog/average-broadband-co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555C1-C835-4141-9BD9-6ABBE710C9B5}">
  <sheetPr>
    <pageSetUpPr fitToPage="1"/>
  </sheetPr>
  <dimension ref="A1:I43"/>
  <sheetViews>
    <sheetView tabSelected="1" topLeftCell="A8" workbookViewId="0">
      <selection activeCell="F37" sqref="F37"/>
    </sheetView>
  </sheetViews>
  <sheetFormatPr defaultColWidth="8.85546875" defaultRowHeight="14.25" x14ac:dyDescent="0.2"/>
  <cols>
    <col min="1" max="1" width="2.28515625" style="4" customWidth="1"/>
    <col min="2" max="2" width="4.28515625" style="4" customWidth="1"/>
    <col min="3" max="3" width="47" style="4" customWidth="1"/>
    <col min="4" max="8" width="16.140625" style="4" customWidth="1"/>
    <col min="9" max="9" width="2.28515625" style="4" customWidth="1"/>
    <col min="10" max="16384" width="8.85546875" style="4"/>
  </cols>
  <sheetData>
    <row r="1" spans="1:9" x14ac:dyDescent="0.2">
      <c r="A1" s="1"/>
      <c r="B1" s="2"/>
      <c r="C1" s="2"/>
      <c r="D1" s="2"/>
      <c r="E1" s="2"/>
      <c r="F1" s="2"/>
      <c r="G1" s="2"/>
      <c r="H1" s="2"/>
      <c r="I1" s="3"/>
    </row>
    <row r="2" spans="1:9" x14ac:dyDescent="0.2">
      <c r="A2" s="5"/>
      <c r="I2" s="7"/>
    </row>
    <row r="3" spans="1:9" x14ac:dyDescent="0.2">
      <c r="A3" s="5"/>
      <c r="I3" s="7"/>
    </row>
    <row r="4" spans="1:9" x14ac:dyDescent="0.2">
      <c r="A4" s="5"/>
      <c r="I4" s="7"/>
    </row>
    <row r="5" spans="1:9" x14ac:dyDescent="0.2">
      <c r="A5" s="5"/>
      <c r="I5" s="7"/>
    </row>
    <row r="6" spans="1:9" ht="30" x14ac:dyDescent="0.4">
      <c r="A6" s="5"/>
      <c r="B6" s="6" t="s">
        <v>74</v>
      </c>
      <c r="H6"/>
      <c r="I6" s="7"/>
    </row>
    <row r="7" spans="1:9" x14ac:dyDescent="0.2">
      <c r="A7" s="5"/>
      <c r="I7" s="7"/>
    </row>
    <row r="8" spans="1:9" x14ac:dyDescent="0.2">
      <c r="A8" s="5"/>
      <c r="B8" s="8" t="s">
        <v>0</v>
      </c>
      <c r="I8" s="7"/>
    </row>
    <row r="9" spans="1:9" x14ac:dyDescent="0.2">
      <c r="A9" s="5"/>
      <c r="C9" s="4" t="s">
        <v>1</v>
      </c>
      <c r="D9" s="9" t="s">
        <v>2</v>
      </c>
      <c r="I9" s="7"/>
    </row>
    <row r="10" spans="1:9" x14ac:dyDescent="0.2">
      <c r="A10" s="5"/>
      <c r="C10" s="4" t="s">
        <v>3</v>
      </c>
      <c r="D10" s="10">
        <v>0.5</v>
      </c>
      <c r="I10" s="7"/>
    </row>
    <row r="11" spans="1:9" x14ac:dyDescent="0.2">
      <c r="A11" s="5"/>
      <c r="C11" s="4" t="s">
        <v>4</v>
      </c>
      <c r="D11" s="9" t="s">
        <v>5</v>
      </c>
      <c r="I11" s="7"/>
    </row>
    <row r="12" spans="1:9" x14ac:dyDescent="0.2">
      <c r="A12" s="5"/>
      <c r="C12" s="4" t="s">
        <v>6</v>
      </c>
      <c r="D12" s="9" t="s">
        <v>7</v>
      </c>
      <c r="I12" s="7"/>
    </row>
    <row r="13" spans="1:9" x14ac:dyDescent="0.2">
      <c r="A13" s="5"/>
      <c r="C13" s="4" t="s">
        <v>8</v>
      </c>
      <c r="D13" s="11" t="s">
        <v>2</v>
      </c>
      <c r="I13" s="7"/>
    </row>
    <row r="14" spans="1:9" x14ac:dyDescent="0.2">
      <c r="A14" s="5"/>
      <c r="C14" s="4" t="s">
        <v>9</v>
      </c>
      <c r="D14" s="9" t="s">
        <v>2</v>
      </c>
      <c r="E14" s="12" t="s">
        <v>10</v>
      </c>
      <c r="F14" s="40" t="s">
        <v>11</v>
      </c>
      <c r="G14" s="40"/>
      <c r="H14" s="40"/>
      <c r="I14" s="7"/>
    </row>
    <row r="15" spans="1:9" x14ac:dyDescent="0.2">
      <c r="A15" s="5"/>
      <c r="D15" s="12"/>
      <c r="I15" s="7"/>
    </row>
    <row r="16" spans="1:9" x14ac:dyDescent="0.2">
      <c r="A16" s="5"/>
      <c r="B16" s="8" t="s">
        <v>12</v>
      </c>
      <c r="I16" s="7"/>
    </row>
    <row r="17" spans="1:9" s="14" customFormat="1" ht="28.5" x14ac:dyDescent="0.2">
      <c r="A17" s="13"/>
      <c r="D17" s="15" t="s">
        <v>13</v>
      </c>
      <c r="E17" s="15" t="s">
        <v>14</v>
      </c>
      <c r="F17" s="15" t="s">
        <v>15</v>
      </c>
      <c r="G17" s="15" t="s">
        <v>16</v>
      </c>
      <c r="H17" s="15" t="s">
        <v>17</v>
      </c>
      <c r="I17" s="16"/>
    </row>
    <row r="18" spans="1:9" x14ac:dyDescent="0.2">
      <c r="A18" s="5"/>
      <c r="C18" s="8" t="s">
        <v>18</v>
      </c>
      <c r="D18" s="12"/>
      <c r="I18" s="7"/>
    </row>
    <row r="19" spans="1:9" x14ac:dyDescent="0.2">
      <c r="A19" s="5"/>
      <c r="C19" s="4" t="s">
        <v>19</v>
      </c>
      <c r="D19" s="17">
        <f>IF(D9="Yes",'Default Assumptions'!C3,D10*'Default Assumptions'!C3)</f>
        <v>29575</v>
      </c>
      <c r="E19" s="9" t="s">
        <v>2</v>
      </c>
      <c r="F19" s="18">
        <v>29575</v>
      </c>
      <c r="G19" s="17">
        <f>IF(E19="Yes",D19,F19)</f>
        <v>29575</v>
      </c>
      <c r="H19" s="17">
        <f>G19/12</f>
        <v>2464.5833333333335</v>
      </c>
      <c r="I19" s="7"/>
    </row>
    <row r="20" spans="1:9" x14ac:dyDescent="0.2">
      <c r="A20" s="5"/>
      <c r="C20" s="4" t="s">
        <v>78</v>
      </c>
      <c r="D20" s="17">
        <f>IF(D11="Manse",0,IF(D9="Yes",'Default Assumptions'!C4,'Default Assumptions'!C4*D10))</f>
        <v>0</v>
      </c>
      <c r="E20" s="9" t="s">
        <v>2</v>
      </c>
      <c r="F20" s="18">
        <v>23400</v>
      </c>
      <c r="G20" s="17">
        <f>IF(E20="Yes",D20,F20)</f>
        <v>0</v>
      </c>
      <c r="H20" s="17">
        <f>G20/12</f>
        <v>0</v>
      </c>
      <c r="I20" s="7"/>
    </row>
    <row r="21" spans="1:9" x14ac:dyDescent="0.2">
      <c r="A21" s="5"/>
      <c r="C21" s="4" t="s">
        <v>21</v>
      </c>
      <c r="D21" s="17">
        <f>MAX(IF(D9="Yes",1,D10)*('Default Assumptions'!C3+'Default Assumptions'!C8),IF(D9="Yes",1,D10)*IF(D11="Manse",(G19+'Default Assumptions'!C8),(G19+G20)))*'Default Assumptions'!C5</f>
        <v>3731.6000000000004</v>
      </c>
      <c r="E21" s="9" t="s">
        <v>2</v>
      </c>
      <c r="F21" s="18">
        <v>3732</v>
      </c>
      <c r="G21" s="17">
        <f>IF(E21="Yes",D21,F21)</f>
        <v>3731.6000000000004</v>
      </c>
      <c r="H21" s="17">
        <f>G21/12</f>
        <v>310.9666666666667</v>
      </c>
      <c r="I21" s="7"/>
    </row>
    <row r="22" spans="1:9" x14ac:dyDescent="0.2">
      <c r="A22" s="5"/>
      <c r="C22" s="4" t="s">
        <v>22</v>
      </c>
      <c r="E22" s="12"/>
      <c r="G22" s="17">
        <f>IF(D14="Yes",MAX(0,((G19+G20-'Default Assumptions'!C7)*'Default Assumptions'!C6-5000)),(G19+G20-'Default Assumptions'!C7)*'Default Assumptions'!C6)</f>
        <v>0</v>
      </c>
      <c r="H22" s="17">
        <f>G22/12</f>
        <v>0</v>
      </c>
      <c r="I22" s="7"/>
    </row>
    <row r="23" spans="1:9" x14ac:dyDescent="0.2">
      <c r="A23" s="5"/>
      <c r="D23" s="19"/>
      <c r="F23" s="20" t="s">
        <v>23</v>
      </c>
      <c r="G23" s="19">
        <f>SUM(G19:G22)</f>
        <v>33306.6</v>
      </c>
      <c r="H23" s="19">
        <f>SUM(H19:H22)</f>
        <v>2775.55</v>
      </c>
      <c r="I23" s="7"/>
    </row>
    <row r="24" spans="1:9" x14ac:dyDescent="0.2">
      <c r="A24" s="5"/>
      <c r="C24" s="8" t="s">
        <v>24</v>
      </c>
      <c r="I24" s="7"/>
    </row>
    <row r="25" spans="1:9" x14ac:dyDescent="0.2">
      <c r="A25" s="5"/>
      <c r="C25" s="4" t="s">
        <v>25</v>
      </c>
      <c r="D25" s="17">
        <f>IF(AND(D11="Manse",D12="Leased"),'Default Assumptions'!C9,0)</f>
        <v>0</v>
      </c>
      <c r="E25" s="21" t="s">
        <v>2</v>
      </c>
      <c r="F25" s="18">
        <v>18310</v>
      </c>
      <c r="G25" s="17">
        <f>IF(D11="Manse",IF(E25="Yes",D25,F25),0)</f>
        <v>0</v>
      </c>
      <c r="H25" s="17">
        <f t="shared" ref="H25:H31" si="0">G25/12</f>
        <v>0</v>
      </c>
      <c r="I25" s="7"/>
    </row>
    <row r="26" spans="1:9" x14ac:dyDescent="0.2">
      <c r="A26" s="5"/>
      <c r="C26" s="4" t="s">
        <v>26</v>
      </c>
      <c r="D26" s="17">
        <f>IF(AND(D11="Manse",D12="Owned"),'Default Assumptions'!C10,0)</f>
        <v>2035</v>
      </c>
      <c r="E26" s="9" t="s">
        <v>2</v>
      </c>
      <c r="F26" s="18">
        <v>2035</v>
      </c>
      <c r="G26" s="17">
        <f>IF(D11="Manse",IF(E26="Yes",D26,F26),0)</f>
        <v>2035</v>
      </c>
      <c r="H26" s="17">
        <f t="shared" si="0"/>
        <v>169.58333333333334</v>
      </c>
      <c r="I26" s="7"/>
    </row>
    <row r="27" spans="1:9" x14ac:dyDescent="0.2">
      <c r="A27" s="5"/>
      <c r="C27" s="4" t="s">
        <v>27</v>
      </c>
      <c r="D27" s="17">
        <f>IF(AND(D11="Manse",D12="Owned"),'Default Assumptions'!C11,0)</f>
        <v>305</v>
      </c>
      <c r="E27" s="9" t="s">
        <v>2</v>
      </c>
      <c r="F27" s="18">
        <v>305</v>
      </c>
      <c r="G27" s="17">
        <f>IF(D11="Manse",IF(E27="Yes",D27,F27),0)</f>
        <v>305</v>
      </c>
      <c r="H27" s="17">
        <f t="shared" si="0"/>
        <v>25.416666666666668</v>
      </c>
      <c r="I27" s="7"/>
    </row>
    <row r="28" spans="1:9" x14ac:dyDescent="0.2">
      <c r="A28" s="5"/>
      <c r="C28" s="4" t="s">
        <v>28</v>
      </c>
      <c r="D28" s="17">
        <f>IF(D11="Manse",'Default Assumptions'!C12,0)</f>
        <v>2100</v>
      </c>
      <c r="E28" s="9" t="s">
        <v>2</v>
      </c>
      <c r="F28" s="18">
        <v>2100</v>
      </c>
      <c r="G28" s="17">
        <f>IF(D11="Manse",IF(E28="Yes",D28,F28),0)</f>
        <v>2100</v>
      </c>
      <c r="H28" s="17">
        <f t="shared" si="0"/>
        <v>175</v>
      </c>
      <c r="I28" s="7"/>
    </row>
    <row r="29" spans="1:9" x14ac:dyDescent="0.2">
      <c r="A29" s="5"/>
      <c r="C29" s="4" t="s">
        <v>29</v>
      </c>
      <c r="D29" s="17">
        <f>IF(D11="Manse",'Default Assumptions'!C13,0)</f>
        <v>460</v>
      </c>
      <c r="E29" s="9" t="s">
        <v>2</v>
      </c>
      <c r="F29" s="18">
        <v>460</v>
      </c>
      <c r="G29" s="17">
        <f>IF(D11="Manse",IF(E29="Yes",D29,F29),0)</f>
        <v>460</v>
      </c>
      <c r="H29" s="17">
        <f t="shared" si="0"/>
        <v>38.333333333333336</v>
      </c>
      <c r="I29" s="7"/>
    </row>
    <row r="30" spans="1:9" x14ac:dyDescent="0.2">
      <c r="A30" s="5"/>
      <c r="C30" s="4" t="s">
        <v>30</v>
      </c>
      <c r="D30" s="17">
        <f>IF(D11="Manse",'Default Assumptions'!C14,0)</f>
        <v>305</v>
      </c>
      <c r="E30" s="9" t="s">
        <v>2</v>
      </c>
      <c r="F30" s="18">
        <v>305</v>
      </c>
      <c r="G30" s="17">
        <f>IF(D11="Manse",IF(E30="Yes",D30,F30),0)</f>
        <v>305</v>
      </c>
      <c r="H30" s="17">
        <f t="shared" si="0"/>
        <v>25.416666666666668</v>
      </c>
      <c r="I30" s="7"/>
    </row>
    <row r="31" spans="1:9" x14ac:dyDescent="0.2">
      <c r="A31" s="5"/>
      <c r="C31" s="4" t="s">
        <v>31</v>
      </c>
      <c r="D31" s="17">
        <f>IF(AND(D11="Manse",D13="Yes"),'Default Assumptions'!C15,0)</f>
        <v>2140</v>
      </c>
      <c r="E31" s="9" t="s">
        <v>2</v>
      </c>
      <c r="F31" s="18">
        <v>2140</v>
      </c>
      <c r="G31" s="17">
        <f>IF(D11="Manse",IF(E31="Yes",D31,F31),0)</f>
        <v>2140</v>
      </c>
      <c r="H31" s="17">
        <f t="shared" si="0"/>
        <v>178.33333333333334</v>
      </c>
      <c r="I31" s="7"/>
    </row>
    <row r="32" spans="1:9" x14ac:dyDescent="0.2">
      <c r="A32" s="5"/>
      <c r="D32" s="19"/>
      <c r="F32" s="20" t="s">
        <v>32</v>
      </c>
      <c r="G32" s="19">
        <f>SUM(G25:G31)</f>
        <v>7345</v>
      </c>
      <c r="H32" s="19">
        <f>SUM(H25:H31)</f>
        <v>612.08333333333337</v>
      </c>
      <c r="I32" s="7"/>
    </row>
    <row r="33" spans="1:9" x14ac:dyDescent="0.2">
      <c r="A33" s="5"/>
      <c r="C33" s="8" t="s">
        <v>33</v>
      </c>
      <c r="I33" s="7"/>
    </row>
    <row r="34" spans="1:9" x14ac:dyDescent="0.2">
      <c r="A34" s="5"/>
      <c r="C34" s="4" t="s">
        <v>34</v>
      </c>
      <c r="D34" s="17">
        <f>'Default Assumptions'!C16</f>
        <v>1840</v>
      </c>
      <c r="E34" s="9" t="s">
        <v>2</v>
      </c>
      <c r="F34" s="18">
        <v>1840</v>
      </c>
      <c r="G34" s="17">
        <f>IF($E$34="No",SUM(D34*$D$10),F34)</f>
        <v>1840</v>
      </c>
      <c r="H34" s="17">
        <f>G34/12</f>
        <v>153.33333333333334</v>
      </c>
      <c r="I34" s="7"/>
    </row>
    <row r="35" spans="1:9" x14ac:dyDescent="0.2">
      <c r="A35" s="5"/>
      <c r="C35" s="4" t="s">
        <v>35</v>
      </c>
      <c r="D35" s="17">
        <f>'Default Assumptions'!C17</f>
        <v>510</v>
      </c>
      <c r="E35" s="9" t="s">
        <v>2</v>
      </c>
      <c r="F35" s="18">
        <v>510</v>
      </c>
      <c r="G35" s="17">
        <f>IF(E35="Yes",D35,F35)</f>
        <v>510</v>
      </c>
      <c r="H35" s="17">
        <f>G35/12</f>
        <v>42.5</v>
      </c>
      <c r="I35" s="7"/>
    </row>
    <row r="36" spans="1:9" x14ac:dyDescent="0.2">
      <c r="A36" s="5"/>
      <c r="C36" s="4" t="s">
        <v>36</v>
      </c>
      <c r="D36" s="17">
        <f>'Default Assumptions'!C18</f>
        <v>305</v>
      </c>
      <c r="E36" s="9" t="s">
        <v>2</v>
      </c>
      <c r="F36" s="18">
        <v>305</v>
      </c>
      <c r="G36" s="17">
        <f>IF($E$36="No",SUM(D36*$D$10),F36)</f>
        <v>305</v>
      </c>
      <c r="H36" s="17">
        <f>G36/12</f>
        <v>25.416666666666668</v>
      </c>
      <c r="I36" s="7"/>
    </row>
    <row r="37" spans="1:9" x14ac:dyDescent="0.2">
      <c r="A37" s="5"/>
      <c r="F37" s="20" t="s">
        <v>37</v>
      </c>
      <c r="G37" s="19">
        <f>SUM(G34:G36)</f>
        <v>2655</v>
      </c>
      <c r="H37" s="19">
        <f>SUM(H34:H36)</f>
        <v>221.25</v>
      </c>
      <c r="I37" s="7"/>
    </row>
    <row r="38" spans="1:9" x14ac:dyDescent="0.2">
      <c r="A38" s="5"/>
      <c r="F38" s="22"/>
      <c r="I38" s="7"/>
    </row>
    <row r="39" spans="1:9" x14ac:dyDescent="0.2">
      <c r="A39" s="5"/>
      <c r="F39" s="20" t="s">
        <v>38</v>
      </c>
      <c r="G39" s="19">
        <f>SUM(G37,G32,G23)</f>
        <v>43306.6</v>
      </c>
      <c r="H39" s="19">
        <f>SUM(H37,H32,H23)</f>
        <v>3608.8833333333337</v>
      </c>
      <c r="I39" s="7"/>
    </row>
    <row r="40" spans="1:9" x14ac:dyDescent="0.2">
      <c r="A40" s="5"/>
      <c r="F40" s="20"/>
      <c r="G40" s="19"/>
      <c r="H40" s="19"/>
      <c r="I40" s="7"/>
    </row>
    <row r="41" spans="1:9" x14ac:dyDescent="0.2">
      <c r="A41" s="5"/>
      <c r="B41" s="39" t="s">
        <v>75</v>
      </c>
      <c r="C41" s="4" t="s">
        <v>76</v>
      </c>
      <c r="F41" s="20"/>
      <c r="G41" s="19"/>
      <c r="H41" s="19"/>
      <c r="I41" s="7"/>
    </row>
    <row r="42" spans="1:9" x14ac:dyDescent="0.2">
      <c r="A42" s="5"/>
      <c r="C42" s="4" t="s">
        <v>77</v>
      </c>
      <c r="F42" s="20"/>
      <c r="G42" s="19"/>
      <c r="H42" s="19"/>
      <c r="I42" s="7"/>
    </row>
    <row r="43" spans="1:9" ht="15" thickBot="1" x14ac:dyDescent="0.25">
      <c r="A43" s="23"/>
      <c r="B43" s="24"/>
      <c r="C43" s="24"/>
      <c r="D43" s="24"/>
      <c r="E43" s="24"/>
      <c r="F43" s="24"/>
      <c r="G43" s="24"/>
      <c r="H43" s="24"/>
      <c r="I43" s="25"/>
    </row>
  </sheetData>
  <sheetProtection algorithmName="SHA-512" hashValue="hVlsQK74KfElcYeFXB4vd5i8HLYKuyo8kO/hWrdRtg5+F2Dt9wkl50s+N1jH/4RrZoVElCgMK42i3ju6F38Org==" saltValue="bSGJvkiuz+va+kr4foLj0Q==" spinCount="100000" sheet="1" objects="1" scenarios="1"/>
  <mergeCells count="1">
    <mergeCell ref="F14:H14"/>
  </mergeCells>
  <conditionalFormatting sqref="D10">
    <cfRule type="expression" dxfId="9" priority="10">
      <formula>$D$9="Yes"</formula>
    </cfRule>
  </conditionalFormatting>
  <conditionalFormatting sqref="D12">
    <cfRule type="expression" dxfId="8" priority="2">
      <formula>$D$11="Housing Allowance"</formula>
    </cfRule>
  </conditionalFormatting>
  <conditionalFormatting sqref="D13">
    <cfRule type="expression" dxfId="7" priority="9">
      <formula>$D$11&lt;&gt;"Manse"</formula>
    </cfRule>
  </conditionalFormatting>
  <conditionalFormatting sqref="D25:F25">
    <cfRule type="expression" dxfId="6" priority="1">
      <formula>$D$12="Owned"</formula>
    </cfRule>
  </conditionalFormatting>
  <conditionalFormatting sqref="D25:F31">
    <cfRule type="expression" dxfId="5" priority="4">
      <formula>$D$11&lt;&gt;"Manse"</formula>
    </cfRule>
  </conditionalFormatting>
  <conditionalFormatting sqref="D26:F27">
    <cfRule type="expression" dxfId="4" priority="3">
      <formula>$D$12="Leased"</formula>
    </cfRule>
  </conditionalFormatting>
  <conditionalFormatting sqref="D31:F31">
    <cfRule type="expression" dxfId="3" priority="6">
      <formula>$D$13="No"</formula>
    </cfRule>
  </conditionalFormatting>
  <conditionalFormatting sqref="F19:F21">
    <cfRule type="expression" dxfId="2" priority="8">
      <formula>$E19&lt;&gt;"No"</formula>
    </cfRule>
  </conditionalFormatting>
  <conditionalFormatting sqref="F25:F31">
    <cfRule type="expression" dxfId="1" priority="7">
      <formula>$E25&lt;&gt;"No"</formula>
    </cfRule>
  </conditionalFormatting>
  <conditionalFormatting sqref="F34:F36">
    <cfRule type="expression" dxfId="0" priority="5">
      <formula>$E34&lt;&gt;"No"</formula>
    </cfRule>
  </conditionalFormatting>
  <dataValidations count="3">
    <dataValidation type="list" allowBlank="1" showInputMessage="1" showErrorMessage="1" sqref="D12" xr:uid="{33746ACA-827C-420D-B41E-36A016C1639F}">
      <formula1>"Owned,Leased"</formula1>
    </dataValidation>
    <dataValidation type="list" allowBlank="1" showInputMessage="1" showErrorMessage="1" sqref="D11" xr:uid="{F8273C02-54F3-46D2-B45F-9C637BC7546E}">
      <formula1>"Manse,Housing Allowance"</formula1>
    </dataValidation>
    <dataValidation type="list" allowBlank="1" showInputMessage="1" showErrorMessage="1" sqref="D9 D13:D14 E19:E21 E34:E36 E25:E31" xr:uid="{65DDA9EB-DAEC-48AD-8889-E606F6570134}">
      <formula1>"Yes,No"</formula1>
    </dataValidation>
  </dataValidations>
  <hyperlinks>
    <hyperlink ref="F14" r:id="rId1" xr:uid="{AA81C66F-00A1-4A58-8628-C438B5913D85}"/>
  </hyperlinks>
  <printOptions horizontalCentered="1"/>
  <pageMargins left="0.70866141732283472" right="0.70866141732283472" top="0.74803149606299213" bottom="0.74803149606299213" header="0.31496062992125984" footer="0.31496062992125984"/>
  <pageSetup paperSize="9" scale="8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C6E19-CF81-4CF1-931F-AF4C2923131F}">
  <dimension ref="A1:F20"/>
  <sheetViews>
    <sheetView workbookViewId="0">
      <selection activeCell="C12" sqref="C12"/>
    </sheetView>
  </sheetViews>
  <sheetFormatPr defaultRowHeight="15" x14ac:dyDescent="0.25"/>
  <cols>
    <col min="1" max="1" width="3.42578125" customWidth="1"/>
    <col min="2" max="2" width="43.140625" bestFit="1" customWidth="1"/>
    <col min="3" max="3" width="12.85546875" bestFit="1" customWidth="1"/>
    <col min="4" max="4" width="11.42578125" customWidth="1"/>
    <col min="5" max="5" width="41.28515625" bestFit="1" customWidth="1"/>
    <col min="6" max="6" width="97.85546875" customWidth="1"/>
  </cols>
  <sheetData>
    <row r="1" spans="1:6" x14ac:dyDescent="0.25">
      <c r="A1" s="26" t="s">
        <v>39</v>
      </c>
    </row>
    <row r="2" spans="1:6" s="27" customFormat="1" ht="30" x14ac:dyDescent="0.25">
      <c r="B2" s="28" t="s">
        <v>40</v>
      </c>
      <c r="C2" s="28" t="s">
        <v>41</v>
      </c>
      <c r="D2" s="28" t="s">
        <v>42</v>
      </c>
      <c r="E2" s="28" t="s">
        <v>43</v>
      </c>
      <c r="F2" s="28" t="s">
        <v>44</v>
      </c>
    </row>
    <row r="3" spans="1:6" x14ac:dyDescent="0.25">
      <c r="B3" s="29" t="s">
        <v>19</v>
      </c>
      <c r="C3" s="36">
        <v>29575</v>
      </c>
      <c r="D3" s="30" t="s">
        <v>45</v>
      </c>
      <c r="E3" s="29" t="s">
        <v>73</v>
      </c>
      <c r="F3" s="31" t="s">
        <v>46</v>
      </c>
    </row>
    <row r="4" spans="1:6" x14ac:dyDescent="0.25">
      <c r="B4" s="29" t="s">
        <v>20</v>
      </c>
      <c r="C4" s="36">
        <f>ROUND(23000*1.017,0)+9</f>
        <v>23400</v>
      </c>
      <c r="D4" s="30" t="s">
        <v>45</v>
      </c>
      <c r="E4" s="29" t="s">
        <v>47</v>
      </c>
      <c r="F4" s="31" t="s">
        <v>48</v>
      </c>
    </row>
    <row r="5" spans="1:6" x14ac:dyDescent="0.25">
      <c r="B5" s="29" t="s">
        <v>49</v>
      </c>
      <c r="C5" s="37">
        <v>0.1</v>
      </c>
      <c r="D5" s="30" t="s">
        <v>45</v>
      </c>
      <c r="E5" s="29" t="s">
        <v>50</v>
      </c>
      <c r="F5" s="31" t="s">
        <v>51</v>
      </c>
    </row>
    <row r="6" spans="1:6" x14ac:dyDescent="0.25">
      <c r="B6" s="29" t="s">
        <v>52</v>
      </c>
      <c r="C6" s="38">
        <v>0.13800000000000001</v>
      </c>
      <c r="D6" s="30" t="s">
        <v>53</v>
      </c>
      <c r="E6" s="29" t="s">
        <v>71</v>
      </c>
      <c r="F6" s="31" t="s">
        <v>70</v>
      </c>
    </row>
    <row r="7" spans="1:6" x14ac:dyDescent="0.25">
      <c r="B7" s="29" t="s">
        <v>54</v>
      </c>
      <c r="C7" s="36">
        <v>9100</v>
      </c>
      <c r="D7" s="30" t="s">
        <v>53</v>
      </c>
      <c r="E7" s="29" t="s">
        <v>71</v>
      </c>
      <c r="F7" s="31" t="s">
        <v>70</v>
      </c>
    </row>
    <row r="8" spans="1:6" ht="30" x14ac:dyDescent="0.25">
      <c r="B8" s="29" t="s">
        <v>55</v>
      </c>
      <c r="C8" s="36">
        <v>7741</v>
      </c>
      <c r="D8" s="30" t="s">
        <v>53</v>
      </c>
      <c r="E8" s="32" t="s">
        <v>72</v>
      </c>
      <c r="F8" s="31" t="s">
        <v>46</v>
      </c>
    </row>
    <row r="9" spans="1:6" x14ac:dyDescent="0.25">
      <c r="B9" s="29" t="s">
        <v>56</v>
      </c>
      <c r="C9" s="36">
        <f>ROUND(18000*1.017,0)+4</f>
        <v>18310</v>
      </c>
      <c r="D9" s="30" t="s">
        <v>45</v>
      </c>
      <c r="E9" s="29" t="s">
        <v>57</v>
      </c>
      <c r="F9" s="31" t="s">
        <v>48</v>
      </c>
    </row>
    <row r="10" spans="1:6" x14ac:dyDescent="0.25">
      <c r="B10" s="29" t="s">
        <v>58</v>
      </c>
      <c r="C10" s="36">
        <f>ROUND(2000*1.017,0)+1</f>
        <v>2035</v>
      </c>
      <c r="D10" s="30" t="s">
        <v>45</v>
      </c>
      <c r="E10" s="29" t="s">
        <v>59</v>
      </c>
      <c r="F10" s="29"/>
    </row>
    <row r="11" spans="1:6" x14ac:dyDescent="0.25">
      <c r="B11" s="29" t="s">
        <v>27</v>
      </c>
      <c r="C11" s="36">
        <f>ROUND(298*1.017,0)+2</f>
        <v>305</v>
      </c>
      <c r="D11" s="30" t="s">
        <v>45</v>
      </c>
      <c r="E11" s="29" t="s">
        <v>59</v>
      </c>
      <c r="F11" s="31" t="s">
        <v>60</v>
      </c>
    </row>
    <row r="12" spans="1:6" x14ac:dyDescent="0.25">
      <c r="B12" s="29" t="s">
        <v>28</v>
      </c>
      <c r="C12" s="36">
        <f>ROUND(2065*1.017,0)</f>
        <v>2100</v>
      </c>
      <c r="D12" s="30" t="s">
        <v>45</v>
      </c>
      <c r="E12" s="29" t="s">
        <v>61</v>
      </c>
      <c r="F12" s="31" t="s">
        <v>62</v>
      </c>
    </row>
    <row r="13" spans="1:6" x14ac:dyDescent="0.25">
      <c r="B13" s="29" t="s">
        <v>29</v>
      </c>
      <c r="C13" s="36">
        <f>ROUND(448*1.017,0)+4</f>
        <v>460</v>
      </c>
      <c r="D13" s="30" t="s">
        <v>45</v>
      </c>
      <c r="E13" s="29" t="s">
        <v>59</v>
      </c>
      <c r="F13" s="31" t="s">
        <v>63</v>
      </c>
    </row>
    <row r="14" spans="1:6" x14ac:dyDescent="0.25">
      <c r="B14" s="29" t="s">
        <v>30</v>
      </c>
      <c r="C14" s="36">
        <f>ROUND(300*1.017,0)</f>
        <v>305</v>
      </c>
      <c r="D14" s="30" t="s">
        <v>45</v>
      </c>
      <c r="E14" s="29" t="s">
        <v>59</v>
      </c>
      <c r="F14" s="31" t="s">
        <v>64</v>
      </c>
    </row>
    <row r="15" spans="1:6" x14ac:dyDescent="0.25">
      <c r="B15" s="29" t="s">
        <v>65</v>
      </c>
      <c r="C15" s="36">
        <f>ROUND(2100*1.017,0)+4</f>
        <v>2140</v>
      </c>
      <c r="D15" s="30" t="s">
        <v>45</v>
      </c>
      <c r="E15" s="29" t="s">
        <v>59</v>
      </c>
      <c r="F15" s="31" t="s">
        <v>66</v>
      </c>
    </row>
    <row r="16" spans="1:6" x14ac:dyDescent="0.25">
      <c r="B16" s="29" t="s">
        <v>67</v>
      </c>
      <c r="C16" s="36">
        <f>ROUND(1800*1.017,0)+9</f>
        <v>1840</v>
      </c>
      <c r="D16" s="30" t="s">
        <v>45</v>
      </c>
      <c r="E16" s="29" t="s">
        <v>59</v>
      </c>
      <c r="F16" s="29"/>
    </row>
    <row r="17" spans="2:6" x14ac:dyDescent="0.25">
      <c r="B17" s="29" t="s">
        <v>35</v>
      </c>
      <c r="C17" s="36">
        <f>ROUND(500*1.017,0)+1</f>
        <v>510</v>
      </c>
      <c r="D17" s="30" t="s">
        <v>45</v>
      </c>
      <c r="E17" s="29" t="s">
        <v>68</v>
      </c>
      <c r="F17" s="29"/>
    </row>
    <row r="18" spans="2:6" x14ac:dyDescent="0.25">
      <c r="B18" s="33" t="s">
        <v>36</v>
      </c>
      <c r="C18" s="36">
        <f>ROUND(300*1.017,0)</f>
        <v>305</v>
      </c>
      <c r="D18" s="34" t="s">
        <v>45</v>
      </c>
      <c r="E18" s="33" t="s">
        <v>59</v>
      </c>
      <c r="F18" s="35" t="s">
        <v>64</v>
      </c>
    </row>
    <row r="20" spans="2:6" x14ac:dyDescent="0.25">
      <c r="B20" s="41" t="s">
        <v>69</v>
      </c>
      <c r="C20" s="41"/>
      <c r="D20" s="41"/>
      <c r="E20" s="41"/>
      <c r="F20" s="41"/>
    </row>
  </sheetData>
  <sheetProtection algorithmName="SHA-512" hashValue="U7CN8iz3voJEJIlWDI147Xuc8/4Um8GNzcnonSqdMK9TZXmKYJXRYiSCViYICbvYkbGpKT12pjqcGnSeNyecdQ==" saltValue="p0dtSKQ8/9eW8ln/q4/++w==" spinCount="100000" sheet="1" objects="1" scenarios="1"/>
  <mergeCells count="1">
    <mergeCell ref="B20:F20"/>
  </mergeCells>
  <hyperlinks>
    <hyperlink ref="F3" r:id="rId1" xr:uid="{A7793AA1-E648-49A0-9234-BD8302628E12}"/>
    <hyperlink ref="F8" r:id="rId2" xr:uid="{EE629962-EB55-4D0C-AE66-17EC7F896480}"/>
    <hyperlink ref="F5" r:id="rId3" xr:uid="{F076D77F-AA3A-4218-82AC-8907AE570293}"/>
    <hyperlink ref="F9" r:id="rId4" display="https://www.ons.gov.uk/peoplepopulationandcommunity/housing/bulletins/privaterentalmarketsummarystatisticsinengland/april2022tomarch2023" xr:uid="{EBF00A91-909C-4CF6-B18D-DD820CEFAD9A}"/>
    <hyperlink ref="F12" r:id="rId5" location=":~:text=parish%20level%20data.-,1.,social%20care%20and%20parish%20precepts." display="https://www.gov.uk/government/statistics/council-tax-levels-set-by-local-authorities-in-england-2023-to-2024/council-tax-levels-set-by-local-authorities-in-england-2023-to-2024 - :~:text=parish%20level%20data.-,1.,social%20care%20and%20parish%20precepts." xr:uid="{2567EFD0-4BE3-4B61-BFA4-45A08CF49499}"/>
    <hyperlink ref="F13" r:id="rId6" location=":~:text=How%20much%20is%20the%20average,water%20use%20across%20the%20UK." display="https://lookaftermybills.com/water/what-is-the-average-water-bill-in-the-uk/ - :~:text=How%20much%20is%20the%20average,water%20use%20across%20the%20UK." xr:uid="{13930E05-CCB9-41C4-9B7E-4E3AC638B6EF}"/>
    <hyperlink ref="F15" r:id="rId7" display="https://www.edfenergy.com/energywise/what-is-the-average-energy-bill-in-the-uk" xr:uid="{5911DB42-0A47-48E7-8249-3D212D149EE3}"/>
    <hyperlink ref="F18" r:id="rId8" display="https://www.aquaswitch.co.uk/blog/average-broadband-cost/" xr:uid="{E7EF26B7-90E7-4F9C-B104-3CEB919042DD}"/>
    <hyperlink ref="F14" r:id="rId9" display="https://www.aquaswitch.co.uk/blog/average-broadband-cost/" xr:uid="{8E9E85B0-3B84-4C21-947F-794968F64C6C}"/>
    <hyperlink ref="F11" r:id="rId10" display="https://www.unbiased.co.uk/discover/mortgages-property/ownership-improvements/how-much-is-home-insurance-on-average-and-what-does-it-cover" xr:uid="{335A876A-5DC1-4427-A793-BDE22210CD42}"/>
    <hyperlink ref="F4" r:id="rId11" display="https://www.ons.gov.uk/peoplepopulationandcommunity/housing/bulletins/privaterentalmarketsummarystatisticsinengland/april2022tomarch2023" xr:uid="{0D2B79C0-C502-4567-B580-06D9A15D94D7}"/>
  </hyperlinks>
  <pageMargins left="0.7" right="0.7" top="0.75" bottom="0.75" header="0.3" footer="0.3"/>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d2f9774-fea6-4991-a844-4915b7a2177b" xsi:nil="true"/>
    <lcf76f155ced4ddcb4097134ff3c332f xmlns="7949b5e0-2f76-42c9-9129-4af4186a3fe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A849790BCDCE4F94588C7B7BB89C72" ma:contentTypeVersion="18" ma:contentTypeDescription="Create a new document." ma:contentTypeScope="" ma:versionID="756796029e02f1d8f0e902bfac998255">
  <xsd:schema xmlns:xsd="http://www.w3.org/2001/XMLSchema" xmlns:xs="http://www.w3.org/2001/XMLSchema" xmlns:p="http://schemas.microsoft.com/office/2006/metadata/properties" xmlns:ns2="7949b5e0-2f76-42c9-9129-4af4186a3fe4" xmlns:ns3="bd2f9774-fea6-4991-a844-4915b7a2177b" targetNamespace="http://schemas.microsoft.com/office/2006/metadata/properties" ma:root="true" ma:fieldsID="3ee0c1ba794747acee49281c51fb9142" ns2:_="" ns3:_="">
    <xsd:import namespace="7949b5e0-2f76-42c9-9129-4af4186a3fe4"/>
    <xsd:import namespace="bd2f9774-fea6-4991-a844-4915b7a217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9b5e0-2f76-42c9-9129-4af4186a3f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782bff6-c124-446e-8a54-398a55c4b0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2f9774-fea6-4991-a844-4915b7a2177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6e23e51-8d9c-42d6-9923-2f9a2de43f7f}" ma:internalName="TaxCatchAll" ma:showField="CatchAllData" ma:web="bd2f9774-fea6-4991-a844-4915b7a217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8B345F-AFA9-4E4E-9E13-BEE3DBB58305}">
  <ds:schemaRefs>
    <ds:schemaRef ds:uri="http://purl.org/dc/terms/"/>
    <ds:schemaRef ds:uri="http://schemas.openxmlformats.org/package/2006/metadata/core-properties"/>
    <ds:schemaRef ds:uri="bd2f9774-fea6-4991-a844-4915b7a2177b"/>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3ca47ac6-6a18-4f06-be40-b3200ed2520a"/>
    <ds:schemaRef ds:uri="http://schemas.microsoft.com/office/2006/metadata/properties"/>
  </ds:schemaRefs>
</ds:datastoreItem>
</file>

<file path=customXml/itemProps2.xml><?xml version="1.0" encoding="utf-8"?>
<ds:datastoreItem xmlns:ds="http://schemas.openxmlformats.org/officeDocument/2006/customXml" ds:itemID="{77A63C53-C1EA-4A23-8A39-88406CD0DA6D}"/>
</file>

<file path=customXml/itemProps3.xml><?xml version="1.0" encoding="utf-8"?>
<ds:datastoreItem xmlns:ds="http://schemas.openxmlformats.org/officeDocument/2006/customXml" ds:itemID="{8D9313AA-945B-447A-98E4-9A4902BC2C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Default Assumptions</vt:lpstr>
    </vt:vector>
  </TitlesOfParts>
  <Company>RedRock Consulting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Nicci  Johnson</dc:creator>
  <cp:lastModifiedBy>Lisa Lowe</cp:lastModifiedBy>
  <cp:lastPrinted>2024-12-04T14:11:00Z</cp:lastPrinted>
  <dcterms:created xsi:type="dcterms:W3CDTF">2024-11-29T15:42:04Z</dcterms:created>
  <dcterms:modified xsi:type="dcterms:W3CDTF">2024-12-19T16:26:11Z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y fmtid="{D5CDD505-2E9C-101B-9397-08002B2CF9AE}" pid="3" name="MediaServiceImageTags">
    <vt:lpwstr/>
  </property>
  <property fmtid="{D5CDD505-2E9C-101B-9397-08002B2CF9AE}" pid="4" name="ContentTypeId">
    <vt:lpwstr>0x010100FCA849790BCDCE4F94588C7B7BB89C72</vt:lpwstr>
  </property>
</Properties>
</file>